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<sst xmlns="http://schemas.openxmlformats.org/spreadsheetml/2006/main" count="162" uniqueCount="113">
  <si>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</si>
  <si>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</si>
  <si>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</si>
  <si>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</si>
  <si>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</si>
  <si>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</si>
  <si>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</si>
  <si>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</si>
  <si>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</si>
  <si>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</si>
  <si>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</si>
  <si>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</si>
  <si>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</si>
  <si>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</si>
  <si>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</si>
  <si>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</si>
  <si>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</si>
  <si>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</si>
  <si>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</si>
  <si>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</si>
  <si>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</si>
  <si>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</si>
  <si>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</si>
  <si>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</si>
  <si>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</si>
  <si>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</si>
  <si>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</si>
  <si>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</si>
  <si>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</si>
  <si>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</si>
  <si>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</si>
  <si>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</si>
  <si>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</si>
  <si>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</si>
  <si>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</si>
  <si>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</si>
  <si>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</si>
  <si>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</si>
  <si>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</si>
  <si>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</si>
  <si>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</si>
  <si>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</si>
  <si>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</si>
  <si>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</si>
  <si>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</si>
  <si>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</si>
  <si>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</si>
  <si>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</si>
  <si>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</si>
  <si>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</si>
  <si>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</si>
  <si>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</si>
  <si>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</si>
  <si>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</si>
  <si>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</si>
  <si>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</si>
  <si>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</si>
  <si>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</si>
  <si>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</si>
  <si>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</si>
  <si>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</si>
  <si>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</si>
  <si>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</si>
  <si>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</si>
  <si>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</si>
  <si>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</si>
  <si>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</si>
  <si>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</si>
  <si>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</si>
  <si>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</si>
  <si>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</si>
  <si>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</si>
  <si>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</si>
  <si>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</si>
  <si>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</si>
  <si>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</si>
  <si>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</si>
  <si>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</si>
  <si>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</si>
  <si>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</si>
  <si>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</si>
  <si>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</si>
  <si>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</si>
  <si>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</si>
  <si>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</si>
  <si>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</si>
  <si>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</si>
  <si>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</si>
  <si>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</si>
  <si>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</si>
  <si>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</si>
  <si>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</si>
  <si>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</si>
  <si>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</si>
  <si>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</si>
  <si>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</si>
  <si>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</si>
  <si>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</si>
  <si>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</si>
  <si>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</si>
  <si>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</si>
  <si>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</si>
  <si>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</si>
  <si>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</si>
  <si>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</si>
  <si>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</si>
  <si>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</si>
  <si>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</si>
  <si>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</si>
  <si>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</si>
  <si>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</si>
  <si>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Субвенція обласному бюджету (250380)</t>
  </si>
  <si>
    <t>Аналіз використання коштів міського бюджету за 2016 рік станом на 31.10.2016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</si>
</sst>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38578992"/>
        <c:axId val="11666609"/>
      </c:bar3DChart>
      <c:catAx>
        <c:axId val="3857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66609"/>
        <c:crosses val="autoZero"/>
        <c:auto val="1"/>
        <c:lblOffset val="100"/>
        <c:tickLblSkip val="1"/>
        <c:noMultiLvlLbl val="0"/>
      </c:catAx>
      <c:valAx>
        <c:axId val="11666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78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37890618"/>
        <c:axId val="5471243"/>
      </c:bar3DChart>
      <c:catAx>
        <c:axId val="3789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1243"/>
        <c:crosses val="autoZero"/>
        <c:auto val="1"/>
        <c:lblOffset val="100"/>
        <c:tickLblSkip val="1"/>
        <c:noMultiLvlLbl val="0"/>
      </c:catAx>
      <c:valAx>
        <c:axId val="5471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90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49241188"/>
        <c:axId val="40517509"/>
      </c:bar3D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17509"/>
        <c:crosses val="autoZero"/>
        <c:auto val="1"/>
        <c:lblOffset val="100"/>
        <c:tickLblSkip val="1"/>
        <c:noMultiLvlLbl val="0"/>
      </c:catAx>
      <c:valAx>
        <c:axId val="40517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1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29113262"/>
        <c:axId val="60692767"/>
      </c:bar3D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92767"/>
        <c:crosses val="autoZero"/>
        <c:auto val="1"/>
        <c:lblOffset val="100"/>
        <c:tickLblSkip val="1"/>
        <c:noMultiLvlLbl val="0"/>
      </c:catAx>
      <c:valAx>
        <c:axId val="60692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2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9363992"/>
        <c:axId val="17167065"/>
      </c:bar3DChart>
      <c:catAx>
        <c:axId val="93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67065"/>
        <c:crosses val="autoZero"/>
        <c:auto val="1"/>
        <c:lblOffset val="100"/>
        <c:tickLblSkip val="2"/>
        <c:noMultiLvlLbl val="0"/>
      </c:catAx>
      <c:valAx>
        <c:axId val="17167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63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20285858"/>
        <c:axId val="48354995"/>
      </c:bar3DChart>
      <c:catAx>
        <c:axId val="2028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54995"/>
        <c:crosses val="autoZero"/>
        <c:auto val="1"/>
        <c:lblOffset val="100"/>
        <c:tickLblSkip val="1"/>
        <c:noMultiLvlLbl val="0"/>
      </c:catAx>
      <c:valAx>
        <c:axId val="48354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858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32541772"/>
        <c:axId val="24440493"/>
      </c:bar3DChart>
      <c:catAx>
        <c:axId val="3254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440493"/>
        <c:crosses val="autoZero"/>
        <c:auto val="1"/>
        <c:lblOffset val="100"/>
        <c:tickLblSkip val="1"/>
        <c:noMultiLvlLbl val="0"/>
      </c:catAx>
      <c:valAx>
        <c:axId val="24440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17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18637846"/>
        <c:axId val="33522887"/>
      </c:bar3DChart>
      <c:catAx>
        <c:axId val="1863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22887"/>
        <c:crosses val="autoZero"/>
        <c:auto val="1"/>
        <c:lblOffset val="100"/>
        <c:tickLblSkip val="1"/>
        <c:noMultiLvlLbl val="0"/>
      </c:catAx>
      <c:valAx>
        <c:axId val="33522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378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33270528"/>
        <c:axId val="30999297"/>
      </c:bar3DChart>
      <c:catAx>
        <c:axId val="3327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99297"/>
        <c:crosses val="autoZero"/>
        <c:auto val="1"/>
        <c:lblOffset val="100"/>
        <c:tickLblSkip val="1"/>
        <c:noMultiLvlLbl val="0"/>
      </c:catAx>
      <c:valAx>
        <c:axId val="30999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0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100</v>
      </c>
      <c r="D3" s="129" t="s">
        <v>23</v>
      </c>
      <c r="E3" s="129" t="s">
        <v>22</v>
      </c>
      <c r="F3" s="129" t="s">
        <v>109</v>
      </c>
      <c r="G3" s="129" t="s">
        <v>102</v>
      </c>
      <c r="H3" s="129" t="s">
        <v>110</v>
      </c>
      <c r="I3" s="129" t="s">
        <v>101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v>364321.4</v>
      </c>
      <c r="C6" s="46">
        <f>426773.1+25+188.4+2200.9+6.1-1051.6+141.1+593.1+16568.5+4904.2</f>
        <v>450348.8</v>
      </c>
      <c r="D6" s="47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+734.9-0.1+489-43.6-0.1+131.4+895.9+137.6+11043.7+2.9+239.3+1315.8+278.4+2025.4+693.8+268.2+17968.9+60.5</f>
        <v>331544.90000000014</v>
      </c>
      <c r="E6" s="3">
        <f>D6/D150*100</f>
        <v>27.35425990469631</v>
      </c>
      <c r="F6" s="3">
        <f>D6/B6*100</f>
        <v>91.00341072470628</v>
      </c>
      <c r="G6" s="3">
        <f aca="true" t="shared" si="0" ref="G6:G43">D6/C6*100</f>
        <v>73.61958108914693</v>
      </c>
      <c r="H6" s="47">
        <f>B6-D6</f>
        <v>32776.49999999988</v>
      </c>
      <c r="I6" s="47">
        <f aca="true" t="shared" si="1" ref="I6:I43">C6-D6</f>
        <v>118803.89999999985</v>
      </c>
    </row>
    <row r="7" spans="1:9" s="37" customFormat="1" ht="18.75">
      <c r="A7" s="104" t="s">
        <v>87</v>
      </c>
      <c r="B7" s="97">
        <v>157102.6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</f>
        <v>143489.1</v>
      </c>
      <c r="E7" s="95">
        <f>D7/D6*100</f>
        <v>43.2789344670963</v>
      </c>
      <c r="F7" s="95">
        <f>D7/B7*100</f>
        <v>91.3346437296391</v>
      </c>
      <c r="G7" s="95">
        <f>D7/C7*100</f>
        <v>76.3655842331142</v>
      </c>
      <c r="H7" s="105">
        <f>B7-D7</f>
        <v>13613.5</v>
      </c>
      <c r="I7" s="105">
        <f t="shared" si="1"/>
        <v>44408.5</v>
      </c>
    </row>
    <row r="8" spans="1:9" ht="18">
      <c r="A8" s="23" t="s">
        <v>3</v>
      </c>
      <c r="B8" s="42">
        <f>257328.3+70.1</f>
        <v>257398.4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</f>
        <v>256037.1999999999</v>
      </c>
      <c r="E8" s="1">
        <f>D8/D6*100</f>
        <v>77.2254979642274</v>
      </c>
      <c r="F8" s="1">
        <f>D8/B8*100</f>
        <v>99.47116998396257</v>
      </c>
      <c r="G8" s="1">
        <f t="shared" si="0"/>
        <v>81.94060937033949</v>
      </c>
      <c r="H8" s="44">
        <f>B8-D8</f>
        <v>1361.200000000099</v>
      </c>
      <c r="I8" s="44">
        <f t="shared" si="1"/>
        <v>56429.600000000035</v>
      </c>
    </row>
    <row r="9" spans="1:9" ht="18">
      <c r="A9" s="23" t="s">
        <v>2</v>
      </c>
      <c r="B9" s="42">
        <v>77.6</v>
      </c>
      <c r="C9" s="43">
        <v>85.7</v>
      </c>
      <c r="D9" s="44">
        <f>4+2.9+1.6+0.5+0.5+1.9+1.2+1.8+1.6+0.7+2+3.7+0.1+1.9+2.9+1.2+0.4+1.1+0.2+0.6+1.5+1.7+0.3+0.5+1.3-0.1+0.4+0.3+1.5+2.7+0.5+2.5+7.6+1</f>
        <v>52.49999999999999</v>
      </c>
      <c r="E9" s="12">
        <f>D9/D6*100</f>
        <v>0.015834959307170753</v>
      </c>
      <c r="F9" s="120">
        <f>D9/B9*100</f>
        <v>67.65463917525773</v>
      </c>
      <c r="G9" s="1">
        <f t="shared" si="0"/>
        <v>61.26021003500583</v>
      </c>
      <c r="H9" s="44">
        <f aca="true" t="shared" si="2" ref="H9:H43">B9-D9</f>
        <v>25.1</v>
      </c>
      <c r="I9" s="44">
        <f t="shared" si="1"/>
        <v>33.20000000000001</v>
      </c>
    </row>
    <row r="10" spans="1:9" ht="18">
      <c r="A10" s="23" t="s">
        <v>1</v>
      </c>
      <c r="B10" s="42">
        <v>25431.7</v>
      </c>
      <c r="C10" s="43">
        <f>28052.9-28-1051.6+141.1</f>
        <v>27114.4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</f>
        <v>21233.60000000001</v>
      </c>
      <c r="E10" s="1">
        <f>D10/D6*100</f>
        <v>6.4044417513284015</v>
      </c>
      <c r="F10" s="1">
        <f aca="true" t="shared" si="3" ref="F10:F41">D10/B10*100</f>
        <v>83.4926489381363</v>
      </c>
      <c r="G10" s="1">
        <f t="shared" si="0"/>
        <v>78.31115569586643</v>
      </c>
      <c r="H10" s="44">
        <f t="shared" si="2"/>
        <v>4198.099999999991</v>
      </c>
      <c r="I10" s="44">
        <f t="shared" si="1"/>
        <v>5880.799999999992</v>
      </c>
    </row>
    <row r="11" spans="1:9" ht="18">
      <c r="A11" s="23" t="s">
        <v>0</v>
      </c>
      <c r="B11" s="42">
        <f>55179.9-70.1</f>
        <v>55109.8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</f>
        <v>33950.3</v>
      </c>
      <c r="E11" s="1">
        <f>D11/D6*100</f>
        <v>10.240030837452178</v>
      </c>
      <c r="F11" s="1">
        <f t="shared" si="3"/>
        <v>61.6048325343224</v>
      </c>
      <c r="G11" s="1">
        <f t="shared" si="0"/>
        <v>45.27865800311547</v>
      </c>
      <c r="H11" s="44">
        <f t="shared" si="2"/>
        <v>21159.5</v>
      </c>
      <c r="I11" s="44">
        <f t="shared" si="1"/>
        <v>41030.5</v>
      </c>
    </row>
    <row r="12" spans="1:9" ht="18">
      <c r="A12" s="23" t="s">
        <v>14</v>
      </c>
      <c r="B12" s="42">
        <v>11915.9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</f>
        <v>10278.4</v>
      </c>
      <c r="E12" s="1">
        <f>D12/D6*100</f>
        <v>3.1001532522442647</v>
      </c>
      <c r="F12" s="1">
        <f t="shared" si="3"/>
        <v>86.25785714885154</v>
      </c>
      <c r="G12" s="1">
        <f t="shared" si="0"/>
        <v>69.73134328358209</v>
      </c>
      <c r="H12" s="44">
        <f t="shared" si="2"/>
        <v>1637.5</v>
      </c>
      <c r="I12" s="44">
        <f t="shared" si="1"/>
        <v>4461.6</v>
      </c>
    </row>
    <row r="13" spans="1:9" ht="18.75" thickBot="1">
      <c r="A13" s="23" t="s">
        <v>29</v>
      </c>
      <c r="B13" s="43">
        <f>B6-B8-B9-B10-B11-B12</f>
        <v>14388.000000000024</v>
      </c>
      <c r="C13" s="43">
        <f>C6-C8-C9-C10-C11-C12</f>
        <v>20961.10000000005</v>
      </c>
      <c r="D13" s="43">
        <f>D6-D8-D9-D10-D11-D12</f>
        <v>9992.900000000236</v>
      </c>
      <c r="E13" s="1">
        <f>D13/D6*100</f>
        <v>3.014041235440579</v>
      </c>
      <c r="F13" s="1">
        <f t="shared" si="3"/>
        <v>69.45301640255921</v>
      </c>
      <c r="G13" s="1">
        <f t="shared" si="0"/>
        <v>47.673547666869645</v>
      </c>
      <c r="H13" s="44">
        <f t="shared" si="2"/>
        <v>4395.0999999997875</v>
      </c>
      <c r="I13" s="44">
        <f t="shared" si="1"/>
        <v>10968.199999999813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217129.2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</f>
        <v>201185.39999999997</v>
      </c>
      <c r="E18" s="3">
        <f>D18/D150*100</f>
        <v>16.59889119280763</v>
      </c>
      <c r="F18" s="3">
        <f>D18/B18*100</f>
        <v>92.65699869018076</v>
      </c>
      <c r="G18" s="3">
        <f t="shared" si="0"/>
        <v>77.15998435210824</v>
      </c>
      <c r="H18" s="47">
        <f>B18-D18</f>
        <v>15943.800000000047</v>
      </c>
      <c r="I18" s="47">
        <f t="shared" si="1"/>
        <v>59552.600000000035</v>
      </c>
    </row>
    <row r="19" spans="1:9" s="37" customFormat="1" ht="18.75">
      <c r="A19" s="104" t="s">
        <v>88</v>
      </c>
      <c r="B19" s="97">
        <v>158017.1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</f>
        <v>148342.99999999994</v>
      </c>
      <c r="E19" s="95">
        <f>D19/D18*100</f>
        <v>73.73447576215769</v>
      </c>
      <c r="F19" s="95">
        <f t="shared" si="3"/>
        <v>93.8778144896976</v>
      </c>
      <c r="G19" s="95">
        <f t="shared" si="0"/>
        <v>77.45056322034117</v>
      </c>
      <c r="H19" s="105">
        <f t="shared" si="2"/>
        <v>9674.100000000064</v>
      </c>
      <c r="I19" s="105">
        <f t="shared" si="1"/>
        <v>43189.50000000006</v>
      </c>
    </row>
    <row r="20" spans="1:9" ht="18">
      <c r="A20" s="23" t="s">
        <v>5</v>
      </c>
      <c r="B20" s="42">
        <v>159617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</f>
        <v>157802.9</v>
      </c>
      <c r="E20" s="1">
        <f>D20/D18*100</f>
        <v>78.43655652944996</v>
      </c>
      <c r="F20" s="1">
        <f t="shared" si="3"/>
        <v>98.86346692394919</v>
      </c>
      <c r="G20" s="1">
        <f t="shared" si="0"/>
        <v>83.23561152786759</v>
      </c>
      <c r="H20" s="44">
        <f t="shared" si="2"/>
        <v>1814.1000000000058</v>
      </c>
      <c r="I20" s="44">
        <f t="shared" si="1"/>
        <v>31782.899999999994</v>
      </c>
    </row>
    <row r="21" spans="1:9" ht="18">
      <c r="A21" s="23" t="s">
        <v>2</v>
      </c>
      <c r="B21" s="42">
        <v>20263.3</v>
      </c>
      <c r="C21" s="43">
        <f>20454.1+500+110+1045.6</f>
        <v>22109.699999999997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</f>
        <v>17496.199999999997</v>
      </c>
      <c r="E21" s="1">
        <f>D21/D18*100</f>
        <v>8.69655551545987</v>
      </c>
      <c r="F21" s="1">
        <f t="shared" si="3"/>
        <v>86.34427758558574</v>
      </c>
      <c r="G21" s="1">
        <f t="shared" si="0"/>
        <v>79.13359294789166</v>
      </c>
      <c r="H21" s="44">
        <f t="shared" si="2"/>
        <v>2767.100000000002</v>
      </c>
      <c r="I21" s="44">
        <f t="shared" si="1"/>
        <v>4613.5</v>
      </c>
    </row>
    <row r="22" spans="1:9" ht="18">
      <c r="A22" s="23" t="s">
        <v>1</v>
      </c>
      <c r="B22" s="42">
        <v>3669.6</v>
      </c>
      <c r="C22" s="43">
        <v>3917.9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</f>
        <v>3614.9</v>
      </c>
      <c r="E22" s="1">
        <f>D22/D18*100</f>
        <v>1.796800364241143</v>
      </c>
      <c r="F22" s="1">
        <f t="shared" si="3"/>
        <v>98.50937431872684</v>
      </c>
      <c r="G22" s="1">
        <f t="shared" si="0"/>
        <v>92.26626509099263</v>
      </c>
      <c r="H22" s="44">
        <f t="shared" si="2"/>
        <v>54.69999999999982</v>
      </c>
      <c r="I22" s="44">
        <f t="shared" si="1"/>
        <v>303</v>
      </c>
    </row>
    <row r="23" spans="1:9" ht="18">
      <c r="A23" s="23" t="s">
        <v>0</v>
      </c>
      <c r="B23" s="42">
        <v>20361.1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</f>
        <v>16052.899999999994</v>
      </c>
      <c r="E23" s="1">
        <f>D23/D18*100</f>
        <v>7.979157533300128</v>
      </c>
      <c r="F23" s="1">
        <f t="shared" si="3"/>
        <v>78.8410252884176</v>
      </c>
      <c r="G23" s="1">
        <f t="shared" si="0"/>
        <v>54.00761689443332</v>
      </c>
      <c r="H23" s="44">
        <f t="shared" si="2"/>
        <v>4308.200000000004</v>
      </c>
      <c r="I23" s="44">
        <f t="shared" si="1"/>
        <v>13670.500000000007</v>
      </c>
    </row>
    <row r="24" spans="1:9" ht="18">
      <c r="A24" s="23" t="s">
        <v>14</v>
      </c>
      <c r="B24" s="42">
        <v>1375.7</v>
      </c>
      <c r="C24" s="43">
        <v>1591.6</v>
      </c>
      <c r="D24" s="44">
        <f>73.6+22.6+5.3+2.4+2.5+128.1+0.1+11.5+121.2+11.2-0.1+27.3+71.1+31.4-0.1+0.8+24.6+83.5+19.6+26.5+24.2+67.9+2.3+4+48.1+8.9+75.1+2+0.1+126.5+0.8+36.4+6.5+68.6+1.9+11.7+18.6+90+2.2+13.7</f>
        <v>1272.6</v>
      </c>
      <c r="E24" s="1">
        <f>D24/D18*100</f>
        <v>0.6325508709876563</v>
      </c>
      <c r="F24" s="1">
        <f t="shared" si="3"/>
        <v>92.50563349567493</v>
      </c>
      <c r="G24" s="1">
        <f t="shared" si="0"/>
        <v>79.95727569741142</v>
      </c>
      <c r="H24" s="44">
        <f t="shared" si="2"/>
        <v>103.10000000000014</v>
      </c>
      <c r="I24" s="44">
        <f t="shared" si="1"/>
        <v>319</v>
      </c>
    </row>
    <row r="25" spans="1:9" ht="18.75" thickBot="1">
      <c r="A25" s="23" t="s">
        <v>29</v>
      </c>
      <c r="B25" s="43">
        <f>B18-B20-B21-B22-B23-B24</f>
        <v>11842.500000000011</v>
      </c>
      <c r="C25" s="43">
        <f>C18-C20-C21-C22-C23-C24</f>
        <v>13809.600000000011</v>
      </c>
      <c r="D25" s="43">
        <f>D18-D20-D21-D22-D23-D24</f>
        <v>4945.899999999978</v>
      </c>
      <c r="E25" s="1">
        <f>D25/D18*100</f>
        <v>2.458379186561241</v>
      </c>
      <c r="F25" s="1">
        <f t="shared" si="3"/>
        <v>41.76398564492272</v>
      </c>
      <c r="G25" s="1">
        <f t="shared" si="0"/>
        <v>35.8149403313635</v>
      </c>
      <c r="H25" s="44">
        <f t="shared" si="2"/>
        <v>6896.600000000033</v>
      </c>
      <c r="I25" s="44">
        <f t="shared" si="1"/>
        <v>8863.700000000033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41219</v>
      </c>
      <c r="C33" s="46">
        <f>50266.1+19.2-3069.6+1137.5+1480.3+40-40+150</f>
        <v>49983.5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</f>
        <v>38793.799999999996</v>
      </c>
      <c r="E33" s="3">
        <f>D33/D150*100</f>
        <v>3.200699778192357</v>
      </c>
      <c r="F33" s="3">
        <f>D33/B33*100</f>
        <v>94.11630558722918</v>
      </c>
      <c r="G33" s="3">
        <f t="shared" si="0"/>
        <v>77.61321236007882</v>
      </c>
      <c r="H33" s="47">
        <f t="shared" si="2"/>
        <v>2425.2000000000044</v>
      </c>
      <c r="I33" s="47">
        <f t="shared" si="1"/>
        <v>11189.700000000004</v>
      </c>
    </row>
    <row r="34" spans="1:9" ht="18">
      <c r="A34" s="23" t="s">
        <v>3</v>
      </c>
      <c r="B34" s="42">
        <v>30002.8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</f>
        <v>29247.49999999999</v>
      </c>
      <c r="E34" s="1">
        <f>D34/D33*100</f>
        <v>75.39220184668682</v>
      </c>
      <c r="F34" s="1">
        <f t="shared" si="3"/>
        <v>97.48256829362589</v>
      </c>
      <c r="G34" s="1">
        <f t="shared" si="0"/>
        <v>80.46234728041529</v>
      </c>
      <c r="H34" s="44">
        <f t="shared" si="2"/>
        <v>755.3000000000102</v>
      </c>
      <c r="I34" s="44">
        <f t="shared" si="1"/>
        <v>7101.800000000007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2221.8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</f>
        <v>1325.4999999999993</v>
      </c>
      <c r="E36" s="1">
        <f>D36/D33*100</f>
        <v>3.416783094205774</v>
      </c>
      <c r="F36" s="1">
        <f t="shared" si="3"/>
        <v>59.65883517868391</v>
      </c>
      <c r="G36" s="1">
        <f t="shared" si="0"/>
        <v>39.16499231769292</v>
      </c>
      <c r="H36" s="44">
        <f t="shared" si="2"/>
        <v>896.3000000000009</v>
      </c>
      <c r="I36" s="44">
        <f t="shared" si="1"/>
        <v>2058.9000000000005</v>
      </c>
    </row>
    <row r="37" spans="1:9" s="37" customFormat="1" ht="18.75">
      <c r="A37" s="18" t="s">
        <v>7</v>
      </c>
      <c r="B37" s="51">
        <v>910.3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11.2+19.5+15.2+5+5.7-0.1+1.9+5.1+7+0.3+7.7+25.8+82+15.4+14.3+13.2+14.4+42.6+0.1+37.6+3+2.6+0.8+1.6+3.9+98.6+0.5+15.5+1.7+3.3+166.5+5.9+37.9+118.4+6.4+2.7+15.3+30.5+7.5</f>
        <v>846.5</v>
      </c>
      <c r="E37" s="17">
        <f>D37/D33*100</f>
        <v>2.1820497089741147</v>
      </c>
      <c r="F37" s="17">
        <f t="shared" si="3"/>
        <v>92.99132154234869</v>
      </c>
      <c r="G37" s="17">
        <f t="shared" si="0"/>
        <v>91.09006779296244</v>
      </c>
      <c r="H37" s="53">
        <f t="shared" si="2"/>
        <v>63.799999999999955</v>
      </c>
      <c r="I37" s="53">
        <f t="shared" si="1"/>
        <v>82.79999999999995</v>
      </c>
    </row>
    <row r="38" spans="1:9" ht="18">
      <c r="A38" s="23" t="s">
        <v>14</v>
      </c>
      <c r="B38" s="42">
        <v>40.6</v>
      </c>
      <c r="C38" s="43">
        <v>60.8</v>
      </c>
      <c r="D38" s="43">
        <f>5.1+5.1+5.1+5.1+5.1+4.8</f>
        <v>30.3</v>
      </c>
      <c r="E38" s="1">
        <f>D38/D33*100</f>
        <v>0.07810526424325537</v>
      </c>
      <c r="F38" s="1">
        <f t="shared" si="3"/>
        <v>74.63054187192118</v>
      </c>
      <c r="G38" s="1">
        <f t="shared" si="0"/>
        <v>49.83552631578947</v>
      </c>
      <c r="H38" s="44">
        <f t="shared" si="2"/>
        <v>10.3</v>
      </c>
      <c r="I38" s="44">
        <f t="shared" si="1"/>
        <v>30.499999999999996</v>
      </c>
    </row>
    <row r="39" spans="1:9" ht="18.75" thickBot="1">
      <c r="A39" s="23" t="s">
        <v>29</v>
      </c>
      <c r="B39" s="42">
        <f>B33-B34-B36-B37-B35-B38</f>
        <v>8043.500000000001</v>
      </c>
      <c r="C39" s="42">
        <f>C33-C34-C36-C37-C35-C38</f>
        <v>9259.700000000006</v>
      </c>
      <c r="D39" s="42">
        <f>D33-D34-D36-D37-D35-D38</f>
        <v>7344.000000000006</v>
      </c>
      <c r="E39" s="1">
        <f>D39/D33*100</f>
        <v>18.930860085890032</v>
      </c>
      <c r="F39" s="1">
        <f t="shared" si="3"/>
        <v>91.30353701746759</v>
      </c>
      <c r="G39" s="1">
        <f t="shared" si="0"/>
        <v>79.31142477618067</v>
      </c>
      <c r="H39" s="44">
        <f>B39-D39</f>
        <v>699.4999999999945</v>
      </c>
      <c r="I39" s="44">
        <f t="shared" si="1"/>
        <v>1915.6999999999998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1089.9+103</f>
        <v>1192.9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</f>
        <v>930.3000000000001</v>
      </c>
      <c r="E43" s="3">
        <f>D43/D150*100</f>
        <v>0.07675481658544278</v>
      </c>
      <c r="F43" s="3">
        <f>D43/B43*100</f>
        <v>77.98641964959343</v>
      </c>
      <c r="G43" s="3">
        <f t="shared" si="0"/>
        <v>64.5369406867846</v>
      </c>
      <c r="H43" s="47">
        <f t="shared" si="2"/>
        <v>262.6</v>
      </c>
      <c r="I43" s="47">
        <f t="shared" si="1"/>
        <v>511.19999999999993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6321.3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</f>
        <v>6166.999999999999</v>
      </c>
      <c r="E45" s="3">
        <f>D45/D150*100</f>
        <v>0.5088110866198275</v>
      </c>
      <c r="F45" s="3">
        <f>D45/B45*100</f>
        <v>97.5590463986838</v>
      </c>
      <c r="G45" s="3">
        <f aca="true" t="shared" si="4" ref="G45:G76">D45/C45*100</f>
        <v>79.19711310020674</v>
      </c>
      <c r="H45" s="47">
        <f>B45-D45</f>
        <v>154.3000000000011</v>
      </c>
      <c r="I45" s="47">
        <f aca="true" t="shared" si="5" ref="I45:I77">C45-D45</f>
        <v>1619.9000000000015</v>
      </c>
    </row>
    <row r="46" spans="1:9" ht="18">
      <c r="A46" s="23" t="s">
        <v>3</v>
      </c>
      <c r="B46" s="42">
        <v>5607.5</v>
      </c>
      <c r="C46" s="43">
        <v>6753.6</v>
      </c>
      <c r="D46" s="44">
        <f>224.1+258.6+235.3+288.8+241.4+328.6+224.6+306.6+239.4+298.3+269.8+13.5+346.9+45.8+263.2+291.7-0.1+38.6+180.3+343.4+215.2+305.6+213.9+383.3</f>
        <v>5556.8</v>
      </c>
      <c r="E46" s="1">
        <f>D46/D45*100</f>
        <v>90.1053997081239</v>
      </c>
      <c r="F46" s="1">
        <f aca="true" t="shared" si="6" ref="F46:F74">D46/B46*100</f>
        <v>99.09585376727598</v>
      </c>
      <c r="G46" s="1">
        <f t="shared" si="4"/>
        <v>82.27908078654347</v>
      </c>
      <c r="H46" s="44">
        <f aca="true" t="shared" si="7" ref="H46:H74">B46-D46</f>
        <v>50.69999999999982</v>
      </c>
      <c r="I46" s="44">
        <f t="shared" si="5"/>
        <v>1196.8000000000002</v>
      </c>
    </row>
    <row r="47" spans="1:9" ht="18">
      <c r="A47" s="23" t="s">
        <v>2</v>
      </c>
      <c r="B47" s="42">
        <v>1.1</v>
      </c>
      <c r="C47" s="43">
        <v>1.3</v>
      </c>
      <c r="D47" s="44">
        <f>0.3+0.4+0.1+0.3</f>
        <v>1.0999999999999999</v>
      </c>
      <c r="E47" s="1">
        <f>D47/D45*100</f>
        <v>0.01783687368250365</v>
      </c>
      <c r="F47" s="1">
        <f t="shared" si="6"/>
        <v>99.99999999999997</v>
      </c>
      <c r="G47" s="1">
        <f t="shared" si="4"/>
        <v>84.6153846153846</v>
      </c>
      <c r="H47" s="44">
        <f t="shared" si="7"/>
        <v>0</v>
      </c>
      <c r="I47" s="44">
        <f t="shared" si="5"/>
        <v>0.20000000000000018</v>
      </c>
    </row>
    <row r="48" spans="1:9" ht="18">
      <c r="A48" s="23" t="s">
        <v>1</v>
      </c>
      <c r="B48" s="42">
        <v>46.2</v>
      </c>
      <c r="C48" s="43">
        <v>70.7</v>
      </c>
      <c r="D48" s="44">
        <f>0.2+2.1+0.1+6.5+6.7-0.1+7+4.6+1.6+2+4.6+6.4</f>
        <v>41.7</v>
      </c>
      <c r="E48" s="1">
        <f>D48/D45*100</f>
        <v>0.6761796659640021</v>
      </c>
      <c r="F48" s="1">
        <f t="shared" si="6"/>
        <v>90.25974025974025</v>
      </c>
      <c r="G48" s="1">
        <f t="shared" si="4"/>
        <v>58.981612446958984</v>
      </c>
      <c r="H48" s="44">
        <f t="shared" si="7"/>
        <v>4.5</v>
      </c>
      <c r="I48" s="44">
        <f t="shared" si="5"/>
        <v>29</v>
      </c>
    </row>
    <row r="49" spans="1:9" ht="18">
      <c r="A49" s="23" t="s">
        <v>0</v>
      </c>
      <c r="B49" s="42">
        <v>374</v>
      </c>
      <c r="C49" s="43">
        <f>568.5+40.5</f>
        <v>609</v>
      </c>
      <c r="D49" s="44">
        <f>2.2+2.5+0.8+112.4+2.2+0.1+69.1+4.4-0.1+35.2+27.4+4.8+1+22.3+2.5+1.6+0.6+4.2-0.1+0.5+5.1+0.3+0.5+1.6+0.3+1.5+1.7+0.6+5.1</f>
        <v>310.3000000000001</v>
      </c>
      <c r="E49" s="1">
        <f>D49/D45*100</f>
        <v>5.0316199124371686</v>
      </c>
      <c r="F49" s="1">
        <f t="shared" si="6"/>
        <v>82.9679144385027</v>
      </c>
      <c r="G49" s="1">
        <f t="shared" si="4"/>
        <v>50.95238095238097</v>
      </c>
      <c r="H49" s="44">
        <f t="shared" si="7"/>
        <v>63.699999999999875</v>
      </c>
      <c r="I49" s="44">
        <f t="shared" si="5"/>
        <v>298.6999999999999</v>
      </c>
    </row>
    <row r="50" spans="1:9" ht="18.75" thickBot="1">
      <c r="A50" s="23" t="s">
        <v>29</v>
      </c>
      <c r="B50" s="43">
        <f>B45-B46-B49-B48-B47</f>
        <v>292.50000000000017</v>
      </c>
      <c r="C50" s="43">
        <f>C45-C46-C49-C48-C47</f>
        <v>352.3000000000002</v>
      </c>
      <c r="D50" s="43">
        <f>D45-D46-D49-D48-D47</f>
        <v>257.0999999999988</v>
      </c>
      <c r="E50" s="1">
        <f>D50/D45*100</f>
        <v>4.168963839792425</v>
      </c>
      <c r="F50" s="1">
        <f t="shared" si="6"/>
        <v>87.89743589743543</v>
      </c>
      <c r="G50" s="1">
        <f t="shared" si="4"/>
        <v>72.97757592960507</v>
      </c>
      <c r="H50" s="44">
        <f t="shared" si="7"/>
        <v>35.4000000000014</v>
      </c>
      <c r="I50" s="44">
        <f t="shared" si="5"/>
        <v>95.20000000000141</v>
      </c>
    </row>
    <row r="51" spans="1:9" ht="18.75" thickBot="1">
      <c r="A51" s="22" t="s">
        <v>4</v>
      </c>
      <c r="B51" s="45">
        <v>13549</v>
      </c>
      <c r="C51" s="46">
        <f>16075.7+36.8+200+828.6-580</f>
        <v>16561.1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</f>
        <v>12036.19999999999</v>
      </c>
      <c r="E51" s="3">
        <f>D51/D150*100</f>
        <v>0.9930520513659095</v>
      </c>
      <c r="F51" s="3">
        <f>D51/B51*100</f>
        <v>88.83460033950837</v>
      </c>
      <c r="G51" s="3">
        <f t="shared" si="4"/>
        <v>72.67753953541728</v>
      </c>
      <c r="H51" s="47">
        <f>B51-D51</f>
        <v>1512.8000000000102</v>
      </c>
      <c r="I51" s="47">
        <f t="shared" si="5"/>
        <v>4524.900000000009</v>
      </c>
    </row>
    <row r="52" spans="1:9" ht="18">
      <c r="A52" s="23" t="s">
        <v>3</v>
      </c>
      <c r="B52" s="42">
        <v>8481.5</v>
      </c>
      <c r="C52" s="43">
        <v>10328.7</v>
      </c>
      <c r="D52" s="44">
        <f>8+294.9+437.7+298.5+423.7+297.9+451.2+294.5+446+301+554.2+412+820.4+487.4+393.4+0.1+169.4+354.3-0.1+300.5+8.5+507.2+314.4+656.2</f>
        <v>8231.299999999997</v>
      </c>
      <c r="E52" s="1">
        <f>D52/D51*100</f>
        <v>68.38786327910806</v>
      </c>
      <c r="F52" s="1">
        <f t="shared" si="6"/>
        <v>97.05005010906088</v>
      </c>
      <c r="G52" s="1">
        <f t="shared" si="4"/>
        <v>79.6934754615779</v>
      </c>
      <c r="H52" s="44">
        <f t="shared" si="7"/>
        <v>250.20000000000255</v>
      </c>
      <c r="I52" s="44">
        <f t="shared" si="5"/>
        <v>2097.4000000000033</v>
      </c>
    </row>
    <row r="53" spans="1:9" ht="18">
      <c r="A53" s="23" t="s">
        <v>2</v>
      </c>
      <c r="B53" s="42">
        <v>6</v>
      </c>
      <c r="C53" s="43">
        <v>12</v>
      </c>
      <c r="D53" s="44"/>
      <c r="E53" s="1">
        <f>D53/D51*100</f>
        <v>0</v>
      </c>
      <c r="F53" s="103">
        <f t="shared" si="6"/>
        <v>0</v>
      </c>
      <c r="G53" s="1">
        <f t="shared" si="4"/>
        <v>0</v>
      </c>
      <c r="H53" s="44">
        <f t="shared" si="7"/>
        <v>6</v>
      </c>
      <c r="I53" s="44">
        <f t="shared" si="5"/>
        <v>12</v>
      </c>
    </row>
    <row r="54" spans="1:9" ht="18">
      <c r="A54" s="23" t="s">
        <v>1</v>
      </c>
      <c r="B54" s="42">
        <v>242.9</v>
      </c>
      <c r="C54" s="43">
        <v>287</v>
      </c>
      <c r="D54" s="44">
        <f>1.3+0.7+2.1+1+1.3+7.6+7.5+6.3+0.4+13+20.7+0.5+5.3+9.4+10+8.9+5.1+7.2+1-0.1+17.9+7.1+3.8+1.6+1.9+6.6+0.6+5.8+1.3+5.3+15.2+5.8+4.4</f>
        <v>186.50000000000006</v>
      </c>
      <c r="E54" s="1">
        <f>D54/D51*100</f>
        <v>1.549492364699824</v>
      </c>
      <c r="F54" s="1">
        <f t="shared" si="6"/>
        <v>76.78056813503501</v>
      </c>
      <c r="G54" s="1">
        <f t="shared" si="4"/>
        <v>64.98257839721256</v>
      </c>
      <c r="H54" s="44">
        <f t="shared" si="7"/>
        <v>56.39999999999995</v>
      </c>
      <c r="I54" s="44">
        <f t="shared" si="5"/>
        <v>100.49999999999994</v>
      </c>
    </row>
    <row r="55" spans="1:9" ht="18">
      <c r="A55" s="23" t="s">
        <v>0</v>
      </c>
      <c r="B55" s="42">
        <v>662.3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</f>
        <v>413.70000000000005</v>
      </c>
      <c r="E55" s="1">
        <f>D55/D51*100</f>
        <v>3.4371313205164453</v>
      </c>
      <c r="F55" s="1">
        <f t="shared" si="6"/>
        <v>62.464140117771414</v>
      </c>
      <c r="G55" s="1">
        <f t="shared" si="4"/>
        <v>44.336084021005256</v>
      </c>
      <c r="H55" s="44">
        <f t="shared" si="7"/>
        <v>248.5999999999999</v>
      </c>
      <c r="I55" s="44">
        <f t="shared" si="5"/>
        <v>519.4</v>
      </c>
    </row>
    <row r="56" spans="1:9" ht="18">
      <c r="A56" s="23" t="s">
        <v>14</v>
      </c>
      <c r="B56" s="42">
        <v>200</v>
      </c>
      <c r="C56" s="43">
        <v>200</v>
      </c>
      <c r="D56" s="43">
        <f>40+40+40+40+40</f>
        <v>200</v>
      </c>
      <c r="E56" s="1">
        <f>D56/D51*100</f>
        <v>1.6616540104019557</v>
      </c>
      <c r="F56" s="1">
        <f>D56/B56*100</f>
        <v>100</v>
      </c>
      <c r="G56" s="1">
        <f>D56/C56*100</f>
        <v>100</v>
      </c>
      <c r="H56" s="44">
        <f t="shared" si="7"/>
        <v>0</v>
      </c>
      <c r="I56" s="44">
        <f t="shared" si="5"/>
        <v>0</v>
      </c>
    </row>
    <row r="57" spans="1:9" ht="18.75" thickBot="1">
      <c r="A57" s="23" t="s">
        <v>29</v>
      </c>
      <c r="B57" s="43">
        <f>B51-B52-B55-B54-B53-B56</f>
        <v>3956.3</v>
      </c>
      <c r="C57" s="43">
        <f>C51-C52-C55-C54-C53-C56</f>
        <v>4800.299999999997</v>
      </c>
      <c r="D57" s="43">
        <f>D51-D52-D55-D54-D53-D56</f>
        <v>3004.6999999999925</v>
      </c>
      <c r="E57" s="1">
        <f>D57/D51*100</f>
        <v>24.963859025273717</v>
      </c>
      <c r="F57" s="1">
        <f t="shared" si="6"/>
        <v>75.94722341581762</v>
      </c>
      <c r="G57" s="1">
        <f t="shared" si="4"/>
        <v>62.59400454138271</v>
      </c>
      <c r="H57" s="44">
        <f>B57-D57</f>
        <v>951.6000000000076</v>
      </c>
      <c r="I57" s="44">
        <f>C57-D57</f>
        <v>1795.600000000005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5607</v>
      </c>
      <c r="C59" s="46">
        <f>5881.8+134.4+115.2-20</f>
        <v>6111.4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</f>
        <v>4551.799999999998</v>
      </c>
      <c r="E59" s="3">
        <f>D59/D150*100</f>
        <v>0.37554828994261885</v>
      </c>
      <c r="F59" s="3">
        <f>D59/B59*100</f>
        <v>81.18066702336363</v>
      </c>
      <c r="G59" s="3">
        <f t="shared" si="4"/>
        <v>74.48047910462412</v>
      </c>
      <c r="H59" s="47">
        <f>B59-D59</f>
        <v>1055.2000000000016</v>
      </c>
      <c r="I59" s="47">
        <f t="shared" si="5"/>
        <v>1559.6000000000013</v>
      </c>
    </row>
    <row r="60" spans="1:9" ht="18">
      <c r="A60" s="23" t="s">
        <v>3</v>
      </c>
      <c r="B60" s="42">
        <f>1379.2+1</f>
        <v>1380.2</v>
      </c>
      <c r="C60" s="43">
        <f>1508.2+134.4</f>
        <v>1642.6000000000001</v>
      </c>
      <c r="D60" s="44">
        <f>43.5+72.8+47.2+62.5+0.1+35.3+86.8+44.1+125.7+41.4+92.3+60.6+92.7+66.3+68.7-0.1+2+54.7+84.1+36.1+101.8+41.9+86.5</f>
        <v>1347</v>
      </c>
      <c r="E60" s="1">
        <f>D60/D59*100</f>
        <v>29.592688606705046</v>
      </c>
      <c r="F60" s="1">
        <f t="shared" si="6"/>
        <v>97.59455151427329</v>
      </c>
      <c r="G60" s="1">
        <f t="shared" si="4"/>
        <v>82.00413977840009</v>
      </c>
      <c r="H60" s="44">
        <f t="shared" si="7"/>
        <v>33.200000000000045</v>
      </c>
      <c r="I60" s="44">
        <f t="shared" si="5"/>
        <v>295.60000000000014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6.847840414780968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f>438.6-1</f>
        <v>437.6</v>
      </c>
      <c r="C62" s="43">
        <v>627.5</v>
      </c>
      <c r="D62" s="44">
        <f>4.7+45.7+4.9+40.9+19.8+3.9+46.3+9+12.6+0.9+3+0.3+2.8+0.3+0.1+2.2+0.3+2.2+0.3+3.3+0.5+5.5+0.2</f>
        <v>209.70000000000002</v>
      </c>
      <c r="E62" s="1">
        <f>D62/D59*100</f>
        <v>4.60696867173426</v>
      </c>
      <c r="F62" s="1">
        <f t="shared" si="6"/>
        <v>47.92047531992687</v>
      </c>
      <c r="G62" s="1">
        <f t="shared" si="4"/>
        <v>33.418326693227094</v>
      </c>
      <c r="H62" s="44">
        <f t="shared" si="7"/>
        <v>227.9</v>
      </c>
      <c r="I62" s="44">
        <f t="shared" si="5"/>
        <v>417.79999999999995</v>
      </c>
    </row>
    <row r="63" spans="1:9" ht="18">
      <c r="A63" s="23" t="s">
        <v>14</v>
      </c>
      <c r="B63" s="42">
        <v>3331.4</v>
      </c>
      <c r="C63" s="43">
        <f>3216.2+115.2</f>
        <v>3331.3999999999996</v>
      </c>
      <c r="D63" s="44">
        <f>252+735+554.4+1033.2</f>
        <v>2574.6000000000004</v>
      </c>
      <c r="E63" s="1">
        <f>D63/D59*100</f>
        <v>56.56223911419661</v>
      </c>
      <c r="F63" s="1">
        <f t="shared" si="6"/>
        <v>77.282824037942</v>
      </c>
      <c r="G63" s="1">
        <f t="shared" si="4"/>
        <v>77.28282403794202</v>
      </c>
      <c r="H63" s="44">
        <f t="shared" si="7"/>
        <v>756.7999999999997</v>
      </c>
      <c r="I63" s="44">
        <f t="shared" si="5"/>
        <v>756.7999999999993</v>
      </c>
    </row>
    <row r="64" spans="1:9" ht="18.75" thickBot="1">
      <c r="A64" s="23" t="s">
        <v>29</v>
      </c>
      <c r="B64" s="43">
        <f>B59-B60-B62-B63-B61</f>
        <v>146.00000000000017</v>
      </c>
      <c r="C64" s="43">
        <f>C59-C60-C62-C63-C61</f>
        <v>198.09999999999962</v>
      </c>
      <c r="D64" s="43">
        <f>D59-D60-D62-D63-D61</f>
        <v>108.79999999999814</v>
      </c>
      <c r="E64" s="1">
        <f>D64/D59*100</f>
        <v>2.390263192583114</v>
      </c>
      <c r="F64" s="1">
        <f t="shared" si="6"/>
        <v>74.52054794520411</v>
      </c>
      <c r="G64" s="1">
        <f t="shared" si="4"/>
        <v>54.9217566885403</v>
      </c>
      <c r="H64" s="44">
        <f t="shared" si="7"/>
        <v>37.200000000002035</v>
      </c>
      <c r="I64" s="44">
        <f t="shared" si="5"/>
        <v>89.30000000000149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231.2</v>
      </c>
      <c r="C69" s="46">
        <f>C70+C71</f>
        <v>311.8</v>
      </c>
      <c r="D69" s="47">
        <f>SUM(D70:D71)</f>
        <v>179.5</v>
      </c>
      <c r="E69" s="35">
        <f>D69/D150*100</f>
        <v>0.01480972759011822</v>
      </c>
      <c r="F69" s="3">
        <f>D69/B69*100</f>
        <v>77.63840830449827</v>
      </c>
      <c r="G69" s="3">
        <f t="shared" si="4"/>
        <v>57.56895445798589</v>
      </c>
      <c r="H69" s="47">
        <f>B69-D69</f>
        <v>51.69999999999999</v>
      </c>
      <c r="I69" s="47">
        <f t="shared" si="5"/>
        <v>132.3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69.3-9</f>
        <v>60.3</v>
      </c>
      <c r="C71" s="43">
        <f>149.8-9</f>
        <v>140.8</v>
      </c>
      <c r="D71" s="44">
        <f>9.6</f>
        <v>9.6</v>
      </c>
      <c r="E71" s="1">
        <f>D71/D70*100</f>
        <v>5.650382577987051</v>
      </c>
      <c r="F71" s="1">
        <f t="shared" si="6"/>
        <v>15.92039800995025</v>
      </c>
      <c r="G71" s="1">
        <f t="shared" si="4"/>
        <v>6.8181818181818175</v>
      </c>
      <c r="H71" s="44">
        <f t="shared" si="7"/>
        <v>50.699999999999996</v>
      </c>
      <c r="I71" s="44">
        <f t="shared" si="5"/>
        <v>131.20000000000002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237.1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237.1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50759.2+150.3</f>
        <v>50909.5</v>
      </c>
      <c r="C90" s="46">
        <f>50201.5+5861+2853.8+11.8-0.1+368.5+374.4+150.3</f>
        <v>59821.20000000001</v>
      </c>
      <c r="D90" s="47">
        <f>44075.1+103.3+46.5+25+15.6+5.7+164.2+1847.8+521.6</f>
        <v>46804.799999999996</v>
      </c>
      <c r="E90" s="3">
        <f>D90/D150*100</f>
        <v>3.8616509075764074</v>
      </c>
      <c r="F90" s="3">
        <f aca="true" t="shared" si="10" ref="F90:F96">D90/B90*100</f>
        <v>91.93726121843663</v>
      </c>
      <c r="G90" s="3">
        <f t="shared" si="8"/>
        <v>78.24115865278529</v>
      </c>
      <c r="H90" s="47">
        <f aca="true" t="shared" si="11" ref="H90:H96">B90-D90</f>
        <v>4104.700000000004</v>
      </c>
      <c r="I90" s="47">
        <f t="shared" si="9"/>
        <v>13016.400000000016</v>
      </c>
    </row>
    <row r="91" spans="1:9" ht="18">
      <c r="A91" s="23" t="s">
        <v>3</v>
      </c>
      <c r="B91" s="42">
        <v>42209.2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</f>
        <v>40140.39999999999</v>
      </c>
      <c r="E91" s="1">
        <f>D91/D90*100</f>
        <v>85.76128944039925</v>
      </c>
      <c r="F91" s="1">
        <f t="shared" si="10"/>
        <v>95.09869886185948</v>
      </c>
      <c r="G91" s="1">
        <f t="shared" si="8"/>
        <v>80.79676816147918</v>
      </c>
      <c r="H91" s="44">
        <f t="shared" si="11"/>
        <v>2068.80000000001</v>
      </c>
      <c r="I91" s="44">
        <f t="shared" si="9"/>
        <v>9540.30000000001</v>
      </c>
    </row>
    <row r="92" spans="1:9" ht="18">
      <c r="A92" s="23" t="s">
        <v>27</v>
      </c>
      <c r="B92" s="42">
        <v>1544.3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</f>
        <v>1262.8</v>
      </c>
      <c r="E92" s="1">
        <f>D92/D90*100</f>
        <v>2.6980138789184016</v>
      </c>
      <c r="F92" s="1">
        <f t="shared" si="10"/>
        <v>81.77167648772907</v>
      </c>
      <c r="G92" s="1">
        <f t="shared" si="8"/>
        <v>59.52672763269538</v>
      </c>
      <c r="H92" s="44">
        <f t="shared" si="11"/>
        <v>281.5</v>
      </c>
      <c r="I92" s="44">
        <f t="shared" si="9"/>
        <v>858.6000000000001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7156.000000000003</v>
      </c>
      <c r="C94" s="43">
        <f>C90-C91-C92-C93</f>
        <v>8019.100000000015</v>
      </c>
      <c r="D94" s="43">
        <f>D90-D91-D92-D93</f>
        <v>5401.600000000009</v>
      </c>
      <c r="E94" s="1">
        <f>D94/D90*100</f>
        <v>11.540696680682343</v>
      </c>
      <c r="F94" s="1">
        <f t="shared" si="10"/>
        <v>75.4835103409727</v>
      </c>
      <c r="G94" s="1">
        <f>D94/C94*100</f>
        <v>67.35917995785061</v>
      </c>
      <c r="H94" s="44">
        <f t="shared" si="11"/>
        <v>1754.3999999999942</v>
      </c>
      <c r="I94" s="44">
        <f>C94-D94</f>
        <v>2617.5000000000064</v>
      </c>
    </row>
    <row r="95" spans="1:9" ht="18.75">
      <c r="A95" s="108" t="s">
        <v>12</v>
      </c>
      <c r="B95" s="111">
        <f>69041.8+250+500</f>
        <v>69791.8</v>
      </c>
      <c r="C95" s="113">
        <f>63500.4+11490.6+4535.2-1.1-1111.2+1589.3-1380+1170.8</f>
        <v>79794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</f>
        <v>66836.8</v>
      </c>
      <c r="E95" s="107">
        <f>D95/D150*100</f>
        <v>5.514400005544364</v>
      </c>
      <c r="F95" s="110">
        <f t="shared" si="10"/>
        <v>95.76597823813113</v>
      </c>
      <c r="G95" s="106">
        <f>D95/C95*100</f>
        <v>83.76168634233152</v>
      </c>
      <c r="H95" s="112">
        <f t="shared" si="11"/>
        <v>2955</v>
      </c>
      <c r="I95" s="122">
        <f>C95-D95</f>
        <v>12957.199999999997</v>
      </c>
    </row>
    <row r="96" spans="1:9" ht="18.75" thickBot="1">
      <c r="A96" s="109" t="s">
        <v>89</v>
      </c>
      <c r="B96" s="114">
        <v>6125.4</v>
      </c>
      <c r="C96" s="115">
        <f>5343.5+287.2+2416.8+30</f>
        <v>8077.5</v>
      </c>
      <c r="D96" s="116">
        <f>4529.8+517.7+29.4+13.1+5+72.5+64.2</f>
        <v>5231.7</v>
      </c>
      <c r="E96" s="117">
        <f>D96/D95*100</f>
        <v>7.827574031072702</v>
      </c>
      <c r="F96" s="118">
        <f t="shared" si="10"/>
        <v>85.40993241257713</v>
      </c>
      <c r="G96" s="119">
        <f>D96/C96*100</f>
        <v>64.76880222841226</v>
      </c>
      <c r="H96" s="123">
        <f t="shared" si="11"/>
        <v>893.6999999999998</v>
      </c>
      <c r="I96" s="124">
        <f>C96-D96</f>
        <v>2845.8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8528.6+6</f>
        <v>8534.6</v>
      </c>
      <c r="C102" s="92">
        <f>10703.3-154-3.5-134.3+83.4+37+0.1+6</f>
        <v>10538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</f>
        <v>6229.4</v>
      </c>
      <c r="E102" s="19">
        <f>D102/D150*100</f>
        <v>0.5139594264617405</v>
      </c>
      <c r="F102" s="19">
        <f>D102/B102*100</f>
        <v>72.98994680477115</v>
      </c>
      <c r="G102" s="19">
        <f aca="true" t="shared" si="12" ref="G102:G148">D102/C102*100</f>
        <v>59.11368381096982</v>
      </c>
      <c r="H102" s="79">
        <f aca="true" t="shared" si="13" ref="H102:H107">B102-D102</f>
        <v>2305.2000000000007</v>
      </c>
      <c r="I102" s="79">
        <f aca="true" t="shared" si="14" ref="I102:I148">C102-D102</f>
        <v>4308.6</v>
      </c>
    </row>
    <row r="103" spans="1:9" ht="18">
      <c r="A103" s="23" t="s">
        <v>3</v>
      </c>
      <c r="B103" s="89">
        <v>124.5</v>
      </c>
      <c r="C103" s="87">
        <v>187.6</v>
      </c>
      <c r="D103" s="87">
        <f>15.1+18.9-0.1+18.6+22.1+18.4+16.3</f>
        <v>109.3</v>
      </c>
      <c r="E103" s="83">
        <f>D103/D102*100</f>
        <v>1.7545831059171026</v>
      </c>
      <c r="F103" s="1">
        <f>D103/B103*100</f>
        <v>87.79116465863453</v>
      </c>
      <c r="G103" s="83">
        <f>D103/C103*100</f>
        <v>58.262260127931775</v>
      </c>
      <c r="H103" s="87">
        <f t="shared" si="13"/>
        <v>15.200000000000003</v>
      </c>
      <c r="I103" s="87">
        <f t="shared" si="14"/>
        <v>78.3</v>
      </c>
    </row>
    <row r="104" spans="1:9" ht="18">
      <c r="A104" s="85" t="s">
        <v>52</v>
      </c>
      <c r="B104" s="74">
        <f>6896.6+6</f>
        <v>6902.6</v>
      </c>
      <c r="C104" s="44">
        <f>8863.3-154-3.5-134.3+25.3+6</f>
        <v>8602.8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</f>
        <v>5344.900000000001</v>
      </c>
      <c r="E104" s="1">
        <f>D104/D102*100</f>
        <v>85.80120075769739</v>
      </c>
      <c r="F104" s="1">
        <f aca="true" t="shared" si="15" ref="F104:F148">D104/B104*100</f>
        <v>77.43314113522442</v>
      </c>
      <c r="G104" s="1">
        <f t="shared" si="12"/>
        <v>62.12977170223649</v>
      </c>
      <c r="H104" s="44">
        <f t="shared" si="13"/>
        <v>1557.6999999999998</v>
      </c>
      <c r="I104" s="44">
        <f t="shared" si="14"/>
        <v>3257.8999999999987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1507.5</v>
      </c>
      <c r="C106" s="88">
        <f>C102-C103-C104</f>
        <v>1747.6000000000004</v>
      </c>
      <c r="D106" s="88">
        <f>D102-D103-D104</f>
        <v>775.1999999999989</v>
      </c>
      <c r="E106" s="84">
        <f>D106/D102*100</f>
        <v>12.44421613638551</v>
      </c>
      <c r="F106" s="84">
        <f t="shared" si="15"/>
        <v>51.42288557213923</v>
      </c>
      <c r="G106" s="84">
        <f t="shared" si="12"/>
        <v>44.357976653696426</v>
      </c>
      <c r="H106" s="124">
        <f>B106-D106</f>
        <v>732.3000000000011</v>
      </c>
      <c r="I106" s="124">
        <f t="shared" si="14"/>
        <v>972.4000000000015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520785.8000000001</v>
      </c>
      <c r="C107" s="81">
        <f>SUM(C108:C147)-C115-C119+C148-C139-C140-C109-C112-C122-C123-C137-C131-C129</f>
        <v>586346.5999999999</v>
      </c>
      <c r="D107" s="81">
        <f>SUM(D108:D147)-D115-D119+D148-D139-D140-D109-D112-D122-D123-D137-D131-D129</f>
        <v>496781.30000000016</v>
      </c>
      <c r="E107" s="82">
        <f>D107/D150*100</f>
        <v>40.987162812617264</v>
      </c>
      <c r="F107" s="82">
        <f>D107/B107*100</f>
        <v>95.39071533824465</v>
      </c>
      <c r="G107" s="82">
        <f t="shared" si="12"/>
        <v>84.72485386629688</v>
      </c>
      <c r="H107" s="81">
        <f t="shared" si="13"/>
        <v>24004.49999999994</v>
      </c>
      <c r="I107" s="81">
        <f t="shared" si="14"/>
        <v>89565.2999999997</v>
      </c>
    </row>
    <row r="108" spans="1:9" ht="37.5">
      <c r="A108" s="28" t="s">
        <v>56</v>
      </c>
      <c r="B108" s="71">
        <v>1735.4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142.7+0.9+78.6+37.4+44.2+140.1+1+20.9+25.7+0.2+2+0.6+0.4+1.8+1.5-0.1+62.6+2.1+1.9+2.9+1+9.8+0.1+52+4.8+2+1.2+2+5.2+2.6-0.1+56.3+43+2.2+0.3+6.3+0.1+46.4+1.3+6.5+1.2+1-0.1+67.4+1.9+0.3+9.6+59+4.3+5.5+18.3+1.1</f>
        <v>979.8999999999996</v>
      </c>
      <c r="E108" s="6">
        <f>D108/D107*100</f>
        <v>0.19724977570613053</v>
      </c>
      <c r="F108" s="6">
        <f t="shared" si="15"/>
        <v>56.465368214820764</v>
      </c>
      <c r="G108" s="6">
        <f t="shared" si="12"/>
        <v>45.235896962422665</v>
      </c>
      <c r="H108" s="61">
        <f aca="true" t="shared" si="16" ref="H108:H148">B108-D108</f>
        <v>755.5000000000005</v>
      </c>
      <c r="I108" s="61">
        <f t="shared" si="14"/>
        <v>1186.3000000000002</v>
      </c>
    </row>
    <row r="109" spans="1:9" ht="18">
      <c r="A109" s="23" t="s">
        <v>27</v>
      </c>
      <c r="B109" s="74">
        <v>932.5</v>
      </c>
      <c r="C109" s="44">
        <v>1213.5</v>
      </c>
      <c r="D109" s="75">
        <f>142.7+0.9+78.6+37.4+20.9+42.5+24.8+0.6+32.7+0.1+16.7+37.6+29.1</f>
        <v>464.6</v>
      </c>
      <c r="E109" s="1">
        <f>D109/D108*100</f>
        <v>47.413001326666006</v>
      </c>
      <c r="F109" s="1">
        <f t="shared" si="15"/>
        <v>49.8230563002681</v>
      </c>
      <c r="G109" s="1">
        <f t="shared" si="12"/>
        <v>38.285949732179645</v>
      </c>
      <c r="H109" s="44">
        <f t="shared" si="16"/>
        <v>467.9</v>
      </c>
      <c r="I109" s="44">
        <f t="shared" si="14"/>
        <v>748.9</v>
      </c>
    </row>
    <row r="110" spans="1:9" ht="34.5" customHeight="1">
      <c r="A110" s="16" t="s">
        <v>84</v>
      </c>
      <c r="B110" s="73">
        <v>633.2</v>
      </c>
      <c r="C110" s="61">
        <v>778.3</v>
      </c>
      <c r="D110" s="72">
        <f>26.5+20.2+7.7+37.4+7.5+38.9-0.1+38.9+12.6+45.5+9.7+1.6+37.6-0.1+56.2+1.4+57.4+128+14.8+60.5</f>
        <v>602.1999999999998</v>
      </c>
      <c r="E110" s="6">
        <f>D110/D107*100</f>
        <v>0.12122034384144484</v>
      </c>
      <c r="F110" s="6">
        <f>D110/B110*100</f>
        <v>95.10423246999365</v>
      </c>
      <c r="G110" s="6">
        <f t="shared" si="12"/>
        <v>77.37376333033534</v>
      </c>
      <c r="H110" s="61">
        <f t="shared" si="16"/>
        <v>31.000000000000227</v>
      </c>
      <c r="I110" s="61">
        <f t="shared" si="14"/>
        <v>176.10000000000014</v>
      </c>
    </row>
    <row r="111" spans="1:9" s="37" customFormat="1" ht="34.5" customHeight="1">
      <c r="A111" s="16" t="s">
        <v>60</v>
      </c>
      <c r="B111" s="73">
        <f>744.1-429.7</f>
        <v>314.40000000000003</v>
      </c>
      <c r="C111" s="53">
        <f>774.1-429.7</f>
        <v>344.40000000000003</v>
      </c>
      <c r="D111" s="76"/>
      <c r="E111" s="6">
        <f>D111/D107*100</f>
        <v>0</v>
      </c>
      <c r="F111" s="6">
        <f t="shared" si="15"/>
        <v>0</v>
      </c>
      <c r="G111" s="6">
        <f t="shared" si="12"/>
        <v>0</v>
      </c>
      <c r="H111" s="61">
        <f t="shared" si="16"/>
        <v>314.40000000000003</v>
      </c>
      <c r="I111" s="61">
        <f t="shared" si="14"/>
        <v>344.40000000000003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103</v>
      </c>
      <c r="B113" s="73">
        <v>50</v>
      </c>
      <c r="C113" s="61">
        <v>50</v>
      </c>
      <c r="D113" s="72">
        <f>5.8+4.7+0.7+0.7+1+13.8</f>
        <v>26.7</v>
      </c>
      <c r="E113" s="6">
        <f>D113/D107*100</f>
        <v>0.005374598439997639</v>
      </c>
      <c r="F113" s="6">
        <f t="shared" si="15"/>
        <v>53.400000000000006</v>
      </c>
      <c r="G113" s="6">
        <f t="shared" si="12"/>
        <v>53.400000000000006</v>
      </c>
      <c r="H113" s="61">
        <f t="shared" si="16"/>
        <v>23.3</v>
      </c>
      <c r="I113" s="61">
        <f t="shared" si="14"/>
        <v>23.3</v>
      </c>
    </row>
    <row r="114" spans="1:9" ht="37.5">
      <c r="A114" s="16" t="s">
        <v>41</v>
      </c>
      <c r="B114" s="73">
        <v>1449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82.2+4.4+0.2+16.8+100.8+0.1+8.3+21.3+93.2+14.5+11.8+88.2+4.6+1.1+5.8+6+2.3+112.3+12.6+0.8+1.5+0.2+0.2+72.9+5.6+10.9+0.3+11.7+5.8+0.6+108.3+0.1+3+1.3+29.1+101.7+7.2+3.2+0.7+0.2+0.2+0.2+104.4+5.6+2.8+2.6+104.7+5.8</f>
        <v>1178.1000000000001</v>
      </c>
      <c r="E114" s="6">
        <f>D114/D107*100</f>
        <v>0.23714660757158126</v>
      </c>
      <c r="F114" s="6">
        <f t="shared" si="15"/>
        <v>81.30434782608697</v>
      </c>
      <c r="G114" s="6">
        <f t="shared" si="12"/>
        <v>64.51807228915663</v>
      </c>
      <c r="H114" s="61">
        <f t="shared" si="16"/>
        <v>270.89999999999986</v>
      </c>
      <c r="I114" s="61">
        <f t="shared" si="14"/>
        <v>647.8999999999999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104</v>
      </c>
      <c r="B116" s="73">
        <v>228.5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228.5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</f>
        <v>57</v>
      </c>
      <c r="E117" s="6">
        <f>D117/D107*100</f>
        <v>0.011473861838197206</v>
      </c>
      <c r="F117" s="6">
        <f>D117/B117*100</f>
        <v>51.81818181818182</v>
      </c>
      <c r="G117" s="6">
        <f t="shared" si="12"/>
        <v>51.81818181818182</v>
      </c>
      <c r="H117" s="61">
        <f t="shared" si="16"/>
        <v>53</v>
      </c>
      <c r="I117" s="61">
        <f t="shared" si="14"/>
        <v>53</v>
      </c>
    </row>
    <row r="118" spans="1:9" s="2" customFormat="1" ht="18.75">
      <c r="A118" s="16" t="s">
        <v>15</v>
      </c>
      <c r="B118" s="73">
        <v>187.7</v>
      </c>
      <c r="C118" s="53">
        <f>229.6+4.4</f>
        <v>234</v>
      </c>
      <c r="D118" s="72">
        <f>17.1-0.3+0.8+0.3+21.4+4.2+0.3+17.6+4.2+0.8+0.3+16.8+0.3+2+2.2+17.7+1.1+4.1+17.7+0.8+4.3+0.3+1.6+0.3+4+0.8+1.7+3+17.7+1.1+2.9+17.7</f>
        <v>184.79999999999998</v>
      </c>
      <c r="E118" s="6">
        <f>D118/D107*100</f>
        <v>0.037199467854365675</v>
      </c>
      <c r="F118" s="6">
        <f t="shared" si="15"/>
        <v>98.45498135322323</v>
      </c>
      <c r="G118" s="6">
        <f t="shared" si="12"/>
        <v>78.97435897435898</v>
      </c>
      <c r="H118" s="61">
        <f t="shared" si="16"/>
        <v>2.9000000000000057</v>
      </c>
      <c r="I118" s="61">
        <f t="shared" si="14"/>
        <v>49.20000000000002</v>
      </c>
    </row>
    <row r="119" spans="1:9" s="32" customFormat="1" ht="18">
      <c r="A119" s="33" t="s">
        <v>47</v>
      </c>
      <c r="B119" s="74">
        <v>138</v>
      </c>
      <c r="C119" s="44">
        <f>170.2+4.4</f>
        <v>174.6</v>
      </c>
      <c r="D119" s="75">
        <f>17.1-0.3+16.8+16.8+16.8+17.7+17.7+17.7+17.7</f>
        <v>138</v>
      </c>
      <c r="E119" s="1">
        <f>D119/D118*100</f>
        <v>74.67532467532469</v>
      </c>
      <c r="F119" s="1">
        <f t="shared" si="15"/>
        <v>100</v>
      </c>
      <c r="G119" s="1">
        <f t="shared" si="12"/>
        <v>79.03780068728523</v>
      </c>
      <c r="H119" s="44">
        <f t="shared" si="16"/>
        <v>0</v>
      </c>
      <c r="I119" s="44">
        <f t="shared" si="14"/>
        <v>36.599999999999994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568.7-80</f>
        <v>488.70000000000005</v>
      </c>
      <c r="C121" s="53">
        <f>204.9+375.8-12</f>
        <v>568.7</v>
      </c>
      <c r="D121" s="76">
        <f>136.8+10+57.4-0.1+22.6+0.1</f>
        <v>226.8</v>
      </c>
      <c r="E121" s="17">
        <f>D121/D107*100</f>
        <v>0.045653892366721516</v>
      </c>
      <c r="F121" s="6">
        <f t="shared" si="15"/>
        <v>46.408839779005525</v>
      </c>
      <c r="G121" s="6">
        <f t="shared" si="12"/>
        <v>39.880429048707576</v>
      </c>
      <c r="H121" s="61">
        <f t="shared" si="16"/>
        <v>261.90000000000003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23167.5</v>
      </c>
      <c r="C124" s="53">
        <f>5096.9+1707.5+6000+16669.6-700</f>
        <v>28774</v>
      </c>
      <c r="D124" s="76">
        <f>3776+7.6+1124+100+14.3+14.5+0.1+20.4+3015.8+9+1156.5+27+0.1+1146.6+5.2+681+29.9+16.3+480.3+117.6+5542.8+148.8+1446+310+974.1+0.1+1858.9+80.5+1043.3</f>
        <v>23146.699999999997</v>
      </c>
      <c r="E124" s="17">
        <f>D124/D107*100</f>
        <v>4.659333996670163</v>
      </c>
      <c r="F124" s="6">
        <f t="shared" si="15"/>
        <v>99.91021905686844</v>
      </c>
      <c r="G124" s="6">
        <f t="shared" si="12"/>
        <v>80.44310836171543</v>
      </c>
      <c r="H124" s="61">
        <f t="shared" si="16"/>
        <v>20.80000000000291</v>
      </c>
      <c r="I124" s="61">
        <f t="shared" si="14"/>
        <v>5627.300000000003</v>
      </c>
    </row>
    <row r="125" spans="1:9" s="2" customFormat="1" ht="18.75">
      <c r="A125" s="16" t="s">
        <v>106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105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0.011071270194751692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v>754.2</v>
      </c>
      <c r="C128" s="53">
        <v>983</v>
      </c>
      <c r="D128" s="76">
        <f>2.8+14.4+2.8+8.8+3.7+4+2.8+5.8+9.6+4.2+2.7+0.2+2.9+76+0.5+2.6+4.7+5.9+2.9+2.9+16.5+2.9+3.4</f>
        <v>183</v>
      </c>
      <c r="E128" s="17">
        <f>D128/D107*100</f>
        <v>0.036837135375264715</v>
      </c>
      <c r="F128" s="6">
        <f t="shared" si="15"/>
        <v>24.264120922832138</v>
      </c>
      <c r="G128" s="6">
        <f t="shared" si="12"/>
        <v>18.61648016276704</v>
      </c>
      <c r="H128" s="61">
        <f t="shared" si="16"/>
        <v>571.2</v>
      </c>
      <c r="I128" s="61">
        <f t="shared" si="14"/>
        <v>800</v>
      </c>
    </row>
    <row r="129" spans="1:9" s="32" customFormat="1" ht="18">
      <c r="A129" s="23" t="s">
        <v>99</v>
      </c>
      <c r="B129" s="74">
        <v>644.3</v>
      </c>
      <c r="C129" s="44">
        <v>851.8</v>
      </c>
      <c r="D129" s="75">
        <f>2.8+2.8-0.1+2.8+2.7+2.9+70.7+4.7+2.9+2.9+2.9+2.9</f>
        <v>100.90000000000003</v>
      </c>
      <c r="E129" s="1">
        <f>D129/D128*100</f>
        <v>55.13661202185794</v>
      </c>
      <c r="F129" s="1">
        <f>D129/B129*100</f>
        <v>15.660406642868235</v>
      </c>
      <c r="G129" s="1">
        <f t="shared" si="12"/>
        <v>11.845503639351964</v>
      </c>
      <c r="H129" s="44">
        <f t="shared" si="16"/>
        <v>543.3999999999999</v>
      </c>
      <c r="I129" s="44">
        <f t="shared" si="14"/>
        <v>750.8999999999999</v>
      </c>
    </row>
    <row r="130" spans="1:9" s="2" customFormat="1" ht="37.5">
      <c r="A130" s="16" t="s">
        <v>107</v>
      </c>
      <c r="B130" s="73">
        <v>200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200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46.7</v>
      </c>
      <c r="C132" s="53">
        <v>64.1</v>
      </c>
      <c r="D132" s="76">
        <f>0.8+2.3+1.8+1+14.8+2.3</f>
        <v>23</v>
      </c>
      <c r="E132" s="17">
        <f>D132/D107*100</f>
        <v>0.004629803899623435</v>
      </c>
      <c r="F132" s="6">
        <f t="shared" si="15"/>
        <v>49.25053533190577</v>
      </c>
      <c r="G132" s="6">
        <f t="shared" si="12"/>
        <v>35.8814352574103</v>
      </c>
      <c r="H132" s="61">
        <f t="shared" si="16"/>
        <v>23.700000000000003</v>
      </c>
      <c r="I132" s="61">
        <f t="shared" si="14"/>
        <v>41.099999999999994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f>100-80</f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0.0033817698049423343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5.25" customHeight="1" hidden="1">
      <c r="A135" s="16" t="s">
        <v>98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277.8</v>
      </c>
      <c r="C136" s="53">
        <v>363.7</v>
      </c>
      <c r="D136" s="76">
        <f>5.2+0.3+2.7+0.1+0.5+0.2+13.8+39.2+5+5.9+2+6.5+0.1+32.4+5+3.9+0.2+0.7+8.4+0.1+0.1+3+4.4+0.1+5.5+21.4+0.1+4.5+0.6+5.7+0.4+24.5+1.5+1.7+1.6+1.3+1.6+9.9</f>
        <v>220.1</v>
      </c>
      <c r="E136" s="17">
        <f>D136/D107*100</f>
        <v>0.044305210361179036</v>
      </c>
      <c r="F136" s="6">
        <f t="shared" si="15"/>
        <v>79.22966162706983</v>
      </c>
      <c r="G136" s="6">
        <f>D136/C136*100</f>
        <v>60.516909540830355</v>
      </c>
      <c r="H136" s="61">
        <f t="shared" si="16"/>
        <v>57.70000000000002</v>
      </c>
      <c r="I136" s="61">
        <f t="shared" si="14"/>
        <v>143.6</v>
      </c>
    </row>
    <row r="137" spans="1:9" s="32" customFormat="1" ht="18">
      <c r="A137" s="23" t="s">
        <v>27</v>
      </c>
      <c r="B137" s="74">
        <v>193.6</v>
      </c>
      <c r="C137" s="44">
        <f>218.8+36.5</f>
        <v>255.3</v>
      </c>
      <c r="D137" s="75">
        <f>0.3+39.3+0.2+2+32.4+0.2-0.1+5.4+0.1+5.5+21.4+0.1+0.1+22.6+1.7+9.9</f>
        <v>141.09999999999997</v>
      </c>
      <c r="E137" s="103">
        <f>D137/D136*100</f>
        <v>64.10722398909586</v>
      </c>
      <c r="F137" s="1">
        <f t="shared" si="15"/>
        <v>72.88223140495866</v>
      </c>
      <c r="G137" s="1">
        <f>D137/C137*100</f>
        <v>55.26831179005091</v>
      </c>
      <c r="H137" s="44">
        <f t="shared" si="16"/>
        <v>52.50000000000003</v>
      </c>
      <c r="I137" s="44">
        <f t="shared" si="14"/>
        <v>114.20000000000005</v>
      </c>
    </row>
    <row r="138" spans="1:9" s="2" customFormat="1" ht="18.75">
      <c r="A138" s="16" t="s">
        <v>26</v>
      </c>
      <c r="B138" s="73">
        <v>1062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</f>
        <v>1020.8999999999999</v>
      </c>
      <c r="E138" s="17">
        <f>D138/D107*100</f>
        <v>0.20550290439676364</v>
      </c>
      <c r="F138" s="6">
        <f t="shared" si="15"/>
        <v>96.12994350282484</v>
      </c>
      <c r="G138" s="6">
        <f t="shared" si="12"/>
        <v>81.20426344257078</v>
      </c>
      <c r="H138" s="61">
        <f t="shared" si="16"/>
        <v>41.100000000000136</v>
      </c>
      <c r="I138" s="61">
        <f t="shared" si="14"/>
        <v>236.30000000000018</v>
      </c>
    </row>
    <row r="139" spans="1:9" s="32" customFormat="1" ht="18">
      <c r="A139" s="33" t="s">
        <v>47</v>
      </c>
      <c r="B139" s="74">
        <v>739.8</v>
      </c>
      <c r="C139" s="44">
        <v>886.2</v>
      </c>
      <c r="D139" s="75">
        <f>26.5+39.8+30.1+42.1+0.1+31.9+40.5+11.2+38.1+30.1+28.3+17.4+33.4+8.9+24.2+37.9+28.8+43.2+29.4+43.5-0.1+36.5+38.4+39.2+36.7</f>
        <v>736.1</v>
      </c>
      <c r="E139" s="1">
        <f>D139/D138*100</f>
        <v>72.10304633166815</v>
      </c>
      <c r="F139" s="1">
        <f aca="true" t="shared" si="17" ref="F139:F147">D139/B139*100</f>
        <v>99.49986482833198</v>
      </c>
      <c r="G139" s="1">
        <f t="shared" si="12"/>
        <v>83.06251410516813</v>
      </c>
      <c r="H139" s="44">
        <f t="shared" si="16"/>
        <v>3.699999999999932</v>
      </c>
      <c r="I139" s="44">
        <f t="shared" si="14"/>
        <v>150.10000000000002</v>
      </c>
    </row>
    <row r="140" spans="1:9" s="32" customFormat="1" ht="18">
      <c r="A140" s="23" t="s">
        <v>27</v>
      </c>
      <c r="B140" s="74">
        <v>25.6</v>
      </c>
      <c r="C140" s="44">
        <v>39.3</v>
      </c>
      <c r="D140" s="75">
        <f>8.6+0.2+0.3+5.1+0.4+5.3+0.3+0.3+0.2+0.3+0.3+0.3</f>
        <v>21.6</v>
      </c>
      <c r="E140" s="1">
        <f>D140/D138*100</f>
        <v>2.1157801939465184</v>
      </c>
      <c r="F140" s="1">
        <f t="shared" si="17"/>
        <v>84.375</v>
      </c>
      <c r="G140" s="1">
        <f>D140/C140*100</f>
        <v>54.961832061068705</v>
      </c>
      <c r="H140" s="44">
        <f t="shared" si="16"/>
        <v>4</v>
      </c>
      <c r="I140" s="44">
        <f t="shared" si="14"/>
        <v>17.699999999999996</v>
      </c>
    </row>
    <row r="141" spans="1:9" s="2" customFormat="1" ht="56.25">
      <c r="A141" s="18" t="s">
        <v>95</v>
      </c>
      <c r="B141" s="73">
        <f>345+154.1</f>
        <v>499.1</v>
      </c>
      <c r="C141" s="53">
        <f>345+154.1</f>
        <v>499.1</v>
      </c>
      <c r="D141" s="76">
        <f>345</f>
        <v>345</v>
      </c>
      <c r="E141" s="17">
        <f>D141/D107*100</f>
        <v>0.06944705849435151</v>
      </c>
      <c r="F141" s="99">
        <f t="shared" si="17"/>
        <v>69.12442396313364</v>
      </c>
      <c r="G141" s="6">
        <f t="shared" si="12"/>
        <v>69.12442396313364</v>
      </c>
      <c r="H141" s="61">
        <f t="shared" si="16"/>
        <v>154.10000000000002</v>
      </c>
      <c r="I141" s="61">
        <f t="shared" si="14"/>
        <v>154.10000000000002</v>
      </c>
    </row>
    <row r="142" spans="1:9" s="2" customFormat="1" ht="18.75">
      <c r="A142" s="18" t="s">
        <v>111</v>
      </c>
      <c r="B142" s="73">
        <v>2620</v>
      </c>
      <c r="C142" s="53">
        <v>2620</v>
      </c>
      <c r="D142" s="76"/>
      <c r="E142" s="17">
        <f>D142/D107*100</f>
        <v>0</v>
      </c>
      <c r="F142" s="99">
        <f>D142/B142*100</f>
        <v>0</v>
      </c>
      <c r="G142" s="6">
        <f t="shared" si="12"/>
        <v>0</v>
      </c>
      <c r="H142" s="61">
        <f t="shared" si="16"/>
        <v>2620</v>
      </c>
      <c r="I142" s="61">
        <f t="shared" si="14"/>
        <v>2620</v>
      </c>
    </row>
    <row r="143" spans="1:9" s="2" customFormat="1" ht="18.75">
      <c r="A143" s="18" t="s">
        <v>92</v>
      </c>
      <c r="B143" s="73">
        <f>33238.5+3264</f>
        <v>36502.5</v>
      </c>
      <c r="C143" s="53">
        <f>16744+15000+2000-2607.4+8610.1+1327.3</f>
        <v>41074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</f>
        <v>32316.499999999996</v>
      </c>
      <c r="E143" s="17">
        <f>D143/D107*100</f>
        <v>6.505176422703508</v>
      </c>
      <c r="F143" s="99">
        <f t="shared" si="17"/>
        <v>88.53229230874597</v>
      </c>
      <c r="G143" s="6">
        <f t="shared" si="12"/>
        <v>78.67872620149</v>
      </c>
      <c r="H143" s="61">
        <f t="shared" si="16"/>
        <v>4186.000000000004</v>
      </c>
      <c r="I143" s="61">
        <f t="shared" si="14"/>
        <v>8757.500000000004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0.4247341838350194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0.12132099175230628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428779.4-3514-2494.7-340</f>
        <v>422430.7</v>
      </c>
      <c r="C147" s="53">
        <f>473452.9-2494.7</f>
        <v>470958.2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</f>
        <v>410123.70000000007</v>
      </c>
      <c r="E147" s="17">
        <f>D147/D107*100</f>
        <v>82.5561871994779</v>
      </c>
      <c r="F147" s="6">
        <f t="shared" si="17"/>
        <v>97.08662272888785</v>
      </c>
      <c r="G147" s="6">
        <f t="shared" si="12"/>
        <v>87.08282391091186</v>
      </c>
      <c r="H147" s="61">
        <f t="shared" si="16"/>
        <v>12306.999999999942</v>
      </c>
      <c r="I147" s="61">
        <f t="shared" si="14"/>
        <v>60834.49999999994</v>
      </c>
      <c r="K147" s="91"/>
      <c r="L147" s="38"/>
    </row>
    <row r="148" spans="1:12" s="2" customFormat="1" ht="18.75">
      <c r="A148" s="16" t="s">
        <v>94</v>
      </c>
      <c r="B148" s="73">
        <v>24168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</f>
        <v>23362.399999999994</v>
      </c>
      <c r="E148" s="17">
        <f>D148/D107*100</f>
        <v>4.70275350541576</v>
      </c>
      <c r="F148" s="6">
        <f t="shared" si="15"/>
        <v>96.66666666666664</v>
      </c>
      <c r="G148" s="6">
        <f t="shared" si="12"/>
        <v>80.55555555555554</v>
      </c>
      <c r="H148" s="61">
        <f t="shared" si="16"/>
        <v>805.6000000000058</v>
      </c>
      <c r="I148" s="61">
        <f t="shared" si="14"/>
        <v>5639.200000000004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530981.6000000001</v>
      </c>
      <c r="C149" s="77">
        <f>C43+C69+C72+C77+C79+C87+C102+C107+C100+C84+C98</f>
        <v>600445.8999999999</v>
      </c>
      <c r="D149" s="53">
        <f>D43+D69+D72+D77+D79+D87+D102+D107+D100+D84+D98</f>
        <v>504120.5000000002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1299829.8000000003</v>
      </c>
      <c r="C150" s="47">
        <f>C6+C18+C33+C43+C51+C59+C69+C72+C77+C79+C87+C90+C95+C102+C107+C100+C84+C98+C45</f>
        <v>1531590.7999999998</v>
      </c>
      <c r="D150" s="47">
        <f>D6+D18+D33+D43+D51+D59+D69+D72+D77+D79+D87+D90+D95+D102+D107+D100+D84+D98+D45</f>
        <v>1212041.2000000004</v>
      </c>
      <c r="E150" s="31">
        <v>100</v>
      </c>
      <c r="F150" s="3">
        <f>D150/B150*100</f>
        <v>93.24614653395392</v>
      </c>
      <c r="G150" s="3">
        <f aca="true" t="shared" si="18" ref="G150:G156">D150/C150*100</f>
        <v>79.1360982319821</v>
      </c>
      <c r="H150" s="47">
        <f aca="true" t="shared" si="19" ref="H150:H156">B150-D150</f>
        <v>87788.59999999986</v>
      </c>
      <c r="I150" s="47">
        <f aca="true" t="shared" si="20" ref="I150:I156">C150-D150</f>
        <v>319549.5999999994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505698.9</v>
      </c>
      <c r="C151" s="60">
        <f>C8+C20+C34+C52+C60+C91+C115+C119+C46+C139+C131+C103</f>
        <v>608055.8999999997</v>
      </c>
      <c r="D151" s="60">
        <f>D8+D20+D34+D52+D60+D91+D115+D119+D46+D139+D131+D103</f>
        <v>499346.49999999977</v>
      </c>
      <c r="E151" s="6">
        <f>D151/D150*100</f>
        <v>41.19880578316971</v>
      </c>
      <c r="F151" s="6">
        <f aca="true" t="shared" si="21" ref="F151:F156">D151/B151*100</f>
        <v>98.74383748906706</v>
      </c>
      <c r="G151" s="6">
        <f t="shared" si="18"/>
        <v>82.12180820875187</v>
      </c>
      <c r="H151" s="61">
        <f t="shared" si="19"/>
        <v>6352.400000000256</v>
      </c>
      <c r="I151" s="72">
        <f t="shared" si="20"/>
        <v>108709.3999999999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87988.00000000001</v>
      </c>
      <c r="C152" s="61">
        <f>C11+C23+C36+C55+C62+C92+C49+C140+C109+C112+C96+C137</f>
        <v>121965.20000000001</v>
      </c>
      <c r="D152" s="61">
        <f>D11+D23+D36+D55+D62+D92+D49+D140+D109+D112+D96+D137</f>
        <v>59384.19999999999</v>
      </c>
      <c r="E152" s="6">
        <f>D152/D150*100</f>
        <v>4.899519917309739</v>
      </c>
      <c r="F152" s="6">
        <f t="shared" si="21"/>
        <v>67.49124880665543</v>
      </c>
      <c r="G152" s="6">
        <f t="shared" si="18"/>
        <v>48.68946224004878</v>
      </c>
      <c r="H152" s="61">
        <f t="shared" si="19"/>
        <v>28603.800000000025</v>
      </c>
      <c r="I152" s="72">
        <f t="shared" si="20"/>
        <v>62581.00000000002</v>
      </c>
      <c r="K152" s="39"/>
      <c r="L152" s="90"/>
    </row>
    <row r="153" spans="1:12" ht="18.75">
      <c r="A153" s="18" t="s">
        <v>1</v>
      </c>
      <c r="B153" s="60">
        <f>B22+B10+B54+B48+B61+B35+B123</f>
        <v>29702.2</v>
      </c>
      <c r="C153" s="60">
        <f>C22+C10+C54+C48+C61+C35+C123</f>
        <v>31701.800000000003</v>
      </c>
      <c r="D153" s="60">
        <f>D22+D10+D54+D48+D61+D35+D123</f>
        <v>25388.400000000012</v>
      </c>
      <c r="E153" s="6">
        <f>D153/D150*100</f>
        <v>2.094681269910627</v>
      </c>
      <c r="F153" s="6">
        <f t="shared" si="21"/>
        <v>85.47649669048087</v>
      </c>
      <c r="G153" s="6">
        <f t="shared" si="18"/>
        <v>80.08504248970092</v>
      </c>
      <c r="H153" s="61">
        <f t="shared" si="19"/>
        <v>4313.799999999988</v>
      </c>
      <c r="I153" s="72">
        <f t="shared" si="20"/>
        <v>6313.3999999999905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24410.5</v>
      </c>
      <c r="C154" s="60">
        <f>C12+C24+C104+C63+C38+C93+C129+C56</f>
        <v>29378.4</v>
      </c>
      <c r="D154" s="60">
        <f>D12+D24+D104+D63+D38+D93+D129+D56</f>
        <v>19801.7</v>
      </c>
      <c r="E154" s="6">
        <f>D154/D150*100</f>
        <v>1.6337480937116653</v>
      </c>
      <c r="F154" s="6">
        <f t="shared" si="21"/>
        <v>81.1196001720571</v>
      </c>
      <c r="G154" s="6">
        <f t="shared" si="18"/>
        <v>67.40224110230646</v>
      </c>
      <c r="H154" s="61">
        <f t="shared" si="19"/>
        <v>4608.799999999999</v>
      </c>
      <c r="I154" s="72">
        <f t="shared" si="20"/>
        <v>9576.7</v>
      </c>
      <c r="K154" s="39"/>
      <c r="L154" s="90"/>
    </row>
    <row r="155" spans="1:12" ht="18.75">
      <c r="A155" s="18" t="s">
        <v>2</v>
      </c>
      <c r="B155" s="60">
        <f>B9+B21+B47+B53+B122</f>
        <v>20427.999999999996</v>
      </c>
      <c r="C155" s="60">
        <f>C9+C21+C47+C53+C122</f>
        <v>22288.699999999997</v>
      </c>
      <c r="D155" s="60">
        <f>D9+D21+D47+D53+D122</f>
        <v>17629.799999999996</v>
      </c>
      <c r="E155" s="6">
        <f>D155/D150*100</f>
        <v>1.4545545151435437</v>
      </c>
      <c r="F155" s="6">
        <f t="shared" si="21"/>
        <v>86.30213432543567</v>
      </c>
      <c r="G155" s="6">
        <f t="shared" si="18"/>
        <v>79.09747988891232</v>
      </c>
      <c r="H155" s="61">
        <f t="shared" si="19"/>
        <v>2798.2000000000007</v>
      </c>
      <c r="I155" s="72">
        <f t="shared" si="20"/>
        <v>4658.9000000000015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631602.2000000003</v>
      </c>
      <c r="C156" s="78">
        <f>C150-C151-C152-C153-C154-C155</f>
        <v>718200.8000000002</v>
      </c>
      <c r="D156" s="78">
        <f>D150-D151-D152-D153-D154-D155</f>
        <v>590490.6000000007</v>
      </c>
      <c r="E156" s="36">
        <f>D156/D150*100</f>
        <v>48.71869042075471</v>
      </c>
      <c r="F156" s="36">
        <f t="shared" si="21"/>
        <v>93.49090297658881</v>
      </c>
      <c r="G156" s="36">
        <f t="shared" si="18"/>
        <v>82.21803707264048</v>
      </c>
      <c r="H156" s="127">
        <f t="shared" si="19"/>
        <v>41111.59999999963</v>
      </c>
      <c r="I156" s="127">
        <f t="shared" si="20"/>
        <v>127710.19999999949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68" right="0.16" top="0.2" bottom="0.19" header="0.17" footer="0.18"/>
  <pageSetup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1531590.7999999998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1212041.2000000004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1531590.7999999998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1212041.2000000004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2016-10-28T11:35:59Z</cp:lastPrinted>
  <dcterms:created xsi:type="dcterms:W3CDTF">2000-06-20T04:48:00Z</dcterms:created>
  <dcterms:modified xsi:type="dcterms:W3CDTF">2016-10-31T06:06:23Z</dcterms:modified>
  <cp:category/>
  <cp:version/>
  <cp:contentType/>
  <cp:contentStatus/>
</cp:coreProperties>
</file>